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eggbrekke-my.sharepoint.com/personal/gb_greggbrekke_com/Documents/GreggBrekkeMedia/2025 Assignments/08 Outlook/"/>
    </mc:Choice>
  </mc:AlternateContent>
  <xr:revisionPtr revIDLastSave="264" documentId="8_{D4F98531-D48E-F24C-92A3-68B4B1F11D09}" xr6:coauthVersionLast="47" xr6:coauthVersionMax="47" xr10:uidLastSave="{F1C1A25C-7103-43E7-BBE0-3B0F7130661A}"/>
  <bookViews>
    <workbookView xWindow="0" yWindow="500" windowWidth="28800" windowHeight="17500" xr2:uid="{D436B0FB-697C-42D9-97B5-A734A700531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J21" i="1"/>
  <c r="J13" i="1"/>
  <c r="J37" i="1"/>
  <c r="J39" i="1"/>
  <c r="J41" i="1"/>
  <c r="J43" i="1"/>
  <c r="J45" i="1"/>
  <c r="J47" i="1"/>
  <c r="J35" i="1"/>
  <c r="G57" i="1"/>
  <c r="I51" i="1" s="1"/>
  <c r="J14" i="1"/>
  <c r="K14" i="1" s="1"/>
  <c r="F14" i="1"/>
  <c r="G14" i="1"/>
  <c r="H14" i="1"/>
  <c r="E14" i="1"/>
  <c r="D14" i="1"/>
  <c r="C14" i="1"/>
  <c r="D12" i="1"/>
  <c r="E12" i="1"/>
  <c r="C12" i="1"/>
  <c r="J6" i="1"/>
  <c r="K6" i="1" s="1"/>
  <c r="J5" i="1"/>
  <c r="K5" i="1" s="1"/>
  <c r="J10" i="1"/>
  <c r="K10" i="1" s="1"/>
  <c r="J7" i="1"/>
  <c r="K7" i="1" s="1"/>
  <c r="D10" i="1"/>
  <c r="E10" i="1"/>
  <c r="F10" i="1"/>
  <c r="G10" i="1"/>
  <c r="H10" i="1"/>
  <c r="C10" i="1"/>
  <c r="D6" i="1"/>
  <c r="E6" i="1"/>
  <c r="F6" i="1"/>
  <c r="G6" i="1"/>
  <c r="H6" i="1"/>
  <c r="C6" i="1"/>
  <c r="B28" i="1"/>
  <c r="C28" i="1"/>
  <c r="B22" i="1"/>
  <c r="C22" i="1"/>
  <c r="G11" i="1"/>
  <c r="F11" i="1"/>
  <c r="F12" i="1" s="1"/>
  <c r="H11" i="1"/>
  <c r="J12" i="1" s="1"/>
  <c r="K12" i="1" s="1"/>
  <c r="D22" i="1"/>
  <c r="E22" i="1"/>
  <c r="F22" i="1"/>
  <c r="G22" i="1"/>
  <c r="H22" i="1"/>
  <c r="J22" i="1" s="1"/>
  <c r="G25" i="1"/>
  <c r="G24" i="1"/>
  <c r="G23" i="1"/>
  <c r="C17" i="1"/>
  <c r="D17" i="1"/>
  <c r="E17" i="1"/>
  <c r="F17" i="1"/>
  <c r="G17" i="1"/>
  <c r="H17" i="1"/>
  <c r="B17" i="1"/>
  <c r="F24" i="1"/>
  <c r="F23" i="1"/>
  <c r="F35" i="1"/>
  <c r="F39" i="1"/>
  <c r="F41" i="1"/>
  <c r="F43" i="1"/>
  <c r="F47" i="1"/>
  <c r="F38" i="1"/>
  <c r="F37" i="1" s="1"/>
  <c r="G47" i="1"/>
  <c r="G45" i="1"/>
  <c r="G43" i="1"/>
  <c r="G41" i="1"/>
  <c r="G39" i="1"/>
  <c r="G35" i="1"/>
  <c r="G37" i="1" s="1"/>
  <c r="H51" i="1"/>
  <c r="G28" i="1"/>
  <c r="H31" i="1"/>
  <c r="H24" i="1"/>
  <c r="F28" i="1"/>
  <c r="E25" i="1"/>
  <c r="E24" i="1"/>
  <c r="E23" i="1"/>
  <c r="E29" i="1"/>
  <c r="E36" i="1"/>
  <c r="E38" i="1"/>
  <c r="E40" i="1"/>
  <c r="E42" i="1"/>
  <c r="E44" i="1"/>
  <c r="E48" i="1"/>
  <c r="D48" i="1"/>
  <c r="D44" i="1"/>
  <c r="D42" i="1"/>
  <c r="D40" i="1"/>
  <c r="D38" i="1"/>
  <c r="D36" i="1"/>
  <c r="D29" i="1"/>
  <c r="D25" i="1"/>
  <c r="D24" i="1"/>
  <c r="D23" i="1"/>
  <c r="C25" i="1"/>
  <c r="C24" i="1"/>
  <c r="C23" i="1"/>
  <c r="D9" i="1"/>
  <c r="E9" i="1"/>
  <c r="F9" i="1"/>
  <c r="G9" i="1"/>
  <c r="H9" i="1"/>
  <c r="C9" i="1"/>
  <c r="C8" i="1"/>
  <c r="D8" i="1"/>
  <c r="E8" i="1"/>
  <c r="F8" i="1"/>
  <c r="G8" i="1"/>
  <c r="H8" i="1"/>
  <c r="B8" i="1"/>
  <c r="J17" i="1" l="1"/>
  <c r="I52" i="1"/>
  <c r="I53" i="1"/>
  <c r="I54" i="1"/>
  <c r="I55" i="1"/>
  <c r="H12" i="1"/>
  <c r="H57" i="1"/>
  <c r="G12" i="1"/>
  <c r="J52" i="1" l="1"/>
  <c r="J53" i="1"/>
  <c r="J54" i="1"/>
  <c r="J55" i="1"/>
  <c r="J51" i="1"/>
</calcChain>
</file>

<file path=xl/sharedStrings.xml><?xml version="1.0" encoding="utf-8"?>
<sst xmlns="http://schemas.openxmlformats.org/spreadsheetml/2006/main" count="60" uniqueCount="58">
  <si>
    <t>Congregations</t>
  </si>
  <si>
    <t>Membership</t>
  </si>
  <si>
    <t>Female Members</t>
  </si>
  <si>
    <t>White Members</t>
  </si>
  <si>
    <t>Asian Members</t>
  </si>
  <si>
    <t>Hispanic Members</t>
  </si>
  <si>
    <t>Native American Members</t>
  </si>
  <si>
    <t>% White</t>
  </si>
  <si>
    <t>% Male</t>
  </si>
  <si>
    <t>% Female</t>
  </si>
  <si>
    <t>% Asian</t>
  </si>
  <si>
    <t>% Hispanic</t>
  </si>
  <si>
    <t>% Native American</t>
  </si>
  <si>
    <t>% Non-binary / Genderqueer</t>
  </si>
  <si>
    <t>Non-binary members</t>
  </si>
  <si>
    <t>% Other / Multiracial</t>
  </si>
  <si>
    <t>Other / Multiracial Members</t>
  </si>
  <si>
    <t>% Middle Eastern / N. African</t>
  </si>
  <si>
    <t>Middle Eastern / N. African Members</t>
  </si>
  <si>
    <t>Age under 25</t>
  </si>
  <si>
    <t>Age 41-55</t>
  </si>
  <si>
    <t>Age 56-70</t>
  </si>
  <si>
    <t>Age 71 and over</t>
  </si>
  <si>
    <t>Age 26-40</t>
  </si>
  <si>
    <t>Ethnicity reporting %</t>
  </si>
  <si>
    <t>Ministers of W&amp;S</t>
  </si>
  <si>
    <t>Members per minister</t>
  </si>
  <si>
    <t>Contribution per member</t>
  </si>
  <si>
    <t>Churches Added (5 yr)</t>
  </si>
  <si>
    <t>Churches Lost (5 yr)</t>
  </si>
  <si>
    <t>New Church Development (5 yr / no NWC)</t>
  </si>
  <si>
    <t>Ministerial Candidates</t>
  </si>
  <si>
    <t>- Women Candidates</t>
  </si>
  <si>
    <t>- Racial Ethnic Candidates</t>
  </si>
  <si>
    <t>- Women Ministers</t>
  </si>
  <si>
    <t>- Racial Ethnic Ministers</t>
  </si>
  <si>
    <t>Contributions (excludes other income)</t>
  </si>
  <si>
    <t>Membership_Age_46_55</t>
  </si>
  <si>
    <t>Membership_Age_56_65</t>
  </si>
  <si>
    <t>Membership_Age_Over_65</t>
  </si>
  <si>
    <t>2014 age categories</t>
  </si>
  <si>
    <t>Note: Age not available before 2014</t>
  </si>
  <si>
    <t>Baptisms (all)</t>
  </si>
  <si>
    <t>Year</t>
  </si>
  <si>
    <t>- % Decline over 5 year period</t>
  </si>
  <si>
    <t>- Members per congregation</t>
  </si>
  <si>
    <t>- Membership decline (5 yr)</t>
  </si>
  <si>
    <t>% Black / African</t>
  </si>
  <si>
    <t>Black / African Members</t>
  </si>
  <si>
    <t>30 Year Losses</t>
  </si>
  <si>
    <t>2024 %</t>
  </si>
  <si>
    <t>2019 %</t>
  </si>
  <si>
    <t>30 Year Avg Decline / yr</t>
  </si>
  <si>
    <t>20 Year Trend</t>
  </si>
  <si>
    <t>- % Change over 5 years</t>
  </si>
  <si>
    <t>30 Year Increase</t>
  </si>
  <si>
    <t>New Worshiping Communities</t>
  </si>
  <si>
    <t>94 (in 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</si>
</sst>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_);_(&quot;$&quot;* \(#,##0\);_(&quot;$&quot;* &quot;-&quot;??_);_(@_)"/>
    <numFmt numFmtId="166" formatCode="_(* #,##0_);_(* \(#,##0\);_(* &quot;-&quot;??_);_(@_)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3" fontId="0" fillId="0" borderId="0" xfId="0" applyNumberFormat="1"/>
    <xf numFmtId="9" fontId="0" fillId="0" borderId="0" xfId="2" applyFont="1"/>
    <xf numFmtId="164" fontId="0" fillId="0" borderId="0" xfId="2" applyNumberFormat="1" applyFont="1"/>
    <xf numFmtId="0" fontId="0" fillId="0" borderId="0" xfId="0" quotePrefix="1"/>
    <xf numFmtId="3" fontId="0" fillId="0" borderId="0" xfId="1" applyNumberFormat="1" applyFont="1"/>
    <xf numFmtId="10" fontId="0" fillId="0" borderId="0" xfId="2" applyNumberFormat="1" applyFont="1"/>
    <xf numFmtId="0" fontId="0" fillId="2" borderId="0" xfId="0" quotePrefix="1" applyFill="1"/>
    <xf numFmtId="0" fontId="0" fillId="2" borderId="0" xfId="0" applyFill="1"/>
    <xf numFmtId="166" fontId="0" fillId="0" borderId="0" xfId="1" applyNumberFormat="1" applyFont="1"/>
    <xf numFmtId="165" fontId="0" fillId="0" borderId="0" xfId="0" applyNumberFormat="1"/>
    <xf numFmtId="164" fontId="0" fillId="0" borderId="0" xfId="2" applyNumberFormat="1" applyFont="1" applyFill="1"/>
    <xf numFmtId="44" fontId="0" fillId="0" borderId="0" xfId="3" applyFont="1"/>
    <xf numFmtId="166" fontId="0" fillId="2" borderId="0" xfId="1" applyNumberFormat="1" applyFont="1" applyFill="1"/>
    <xf numFmtId="166" fontId="0" fillId="0" borderId="0" xfId="1" applyNumberFormat="1" applyFont="1" applyFill="1"/>
    <xf numFmtId="0" fontId="0" fillId="3" borderId="0" xfId="0" applyFill="1"/>
    <xf numFmtId="3" fontId="0" fillId="3" borderId="0" xfId="0" applyNumberFormat="1" applyFill="1"/>
    <xf numFmtId="10" fontId="0" fillId="0" borderId="0" xfId="2" applyNumberFormat="1" applyFont="1" applyFill="1"/>
    <xf numFmtId="0" fontId="0" fillId="0" borderId="0" xfId="0" applyAlignment="1">
      <alignment horizontal="right"/>
    </xf>
    <xf numFmtId="166" fontId="0" fillId="0" borderId="0" xfId="0" applyNumberFormat="1"/>
    <xf numFmtId="9" fontId="0" fillId="0" borderId="0" xfId="0" quotePrefix="1" applyNumberFormat="1" applyAlignment="1">
      <alignment horizontal="right"/>
    </xf>
    <xf numFmtId="0" fontId="0" fillId="0" borderId="0" xfId="0" quotePrefix="1" applyAlignment="1">
      <alignment horizontal="right"/>
    </xf>
    <xf numFmtId="1" fontId="0" fillId="0" borderId="0" xfId="0" applyNumberFormat="1"/>
    <xf numFmtId="165" fontId="0" fillId="0" borderId="0" xfId="3" applyNumberFormat="1" applyFont="1"/>
    <xf numFmtId="164" fontId="0" fillId="0" borderId="0" xfId="0" applyNumberFormat="1"/>
    <xf numFmtId="44" fontId="0" fillId="0" borderId="0" xfId="0" applyNumberFormat="1"/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AE40B-870B-48DD-942E-3DE8D3A80EEF}">
  <dimension ref="A4:K61"/>
  <sheetViews>
    <sheetView tabSelected="1" workbookViewId="0">
      <selection activeCell="I22" sqref="I22"/>
    </sheetView>
  </sheetViews>
  <sheetFormatPr baseColWidth="10" defaultColWidth="8.83203125" defaultRowHeight="15" x14ac:dyDescent="0.2"/>
  <cols>
    <col min="1" max="1" width="38.83203125" customWidth="1"/>
    <col min="2" max="8" width="17.6640625" customWidth="1"/>
    <col min="9" max="9" width="12.33203125" customWidth="1"/>
    <col min="10" max="10" width="16.5" customWidth="1"/>
    <col min="11" max="11" width="19.5" customWidth="1"/>
  </cols>
  <sheetData>
    <row r="4" spans="1:11" x14ac:dyDescent="0.2">
      <c r="A4" t="s">
        <v>43</v>
      </c>
      <c r="B4">
        <v>1994</v>
      </c>
      <c r="C4">
        <v>1999</v>
      </c>
      <c r="D4">
        <v>2004</v>
      </c>
      <c r="E4">
        <v>2009</v>
      </c>
      <c r="F4">
        <v>2014</v>
      </c>
      <c r="G4">
        <v>2019</v>
      </c>
      <c r="H4">
        <v>2024</v>
      </c>
      <c r="J4" s="18" t="s">
        <v>49</v>
      </c>
      <c r="K4" s="18" t="s">
        <v>52</v>
      </c>
    </row>
    <row r="5" spans="1:11" x14ac:dyDescent="0.2">
      <c r="A5" t="s">
        <v>0</v>
      </c>
      <c r="B5" s="5">
        <v>11399</v>
      </c>
      <c r="C5" s="1">
        <v>11216</v>
      </c>
      <c r="D5" s="1">
        <v>11019</v>
      </c>
      <c r="E5" s="1">
        <v>10657</v>
      </c>
      <c r="F5" s="1">
        <v>9829</v>
      </c>
      <c r="G5" s="1">
        <v>9041</v>
      </c>
      <c r="H5" s="1">
        <v>8432</v>
      </c>
      <c r="J5" s="1">
        <f>B5-H5</f>
        <v>2967</v>
      </c>
      <c r="K5" s="22">
        <f>J5/30</f>
        <v>98.9</v>
      </c>
    </row>
    <row r="6" spans="1:11" x14ac:dyDescent="0.2">
      <c r="A6" s="4" t="s">
        <v>44</v>
      </c>
      <c r="B6" s="5"/>
      <c r="C6" s="6">
        <f>1-(C5/B5)</f>
        <v>1.6054039828055089E-2</v>
      </c>
      <c r="D6" s="6">
        <f t="shared" ref="D6:H6" si="0">1-(D5/C5)</f>
        <v>1.7564194008559242E-2</v>
      </c>
      <c r="E6" s="6">
        <f t="shared" si="0"/>
        <v>3.2852345947908201E-2</v>
      </c>
      <c r="F6" s="6">
        <f t="shared" si="0"/>
        <v>7.7695411466641606E-2</v>
      </c>
      <c r="G6" s="6">
        <f t="shared" si="0"/>
        <v>8.0170922779529974E-2</v>
      </c>
      <c r="H6" s="6">
        <f t="shared" si="0"/>
        <v>6.7359805331268618E-2</v>
      </c>
      <c r="J6" s="6">
        <f>1-(H5/B5)</f>
        <v>0.26028598999912278</v>
      </c>
      <c r="K6" s="6">
        <f>J6/30</f>
        <v>8.6761996666374266E-3</v>
      </c>
    </row>
    <row r="7" spans="1:11" x14ac:dyDescent="0.2">
      <c r="A7" t="s">
        <v>1</v>
      </c>
      <c r="B7" s="1">
        <v>2698262</v>
      </c>
      <c r="C7" s="1">
        <v>2560201</v>
      </c>
      <c r="D7" s="1">
        <v>2362136</v>
      </c>
      <c r="E7" s="1">
        <v>2077138</v>
      </c>
      <c r="F7" s="1">
        <v>1667767</v>
      </c>
      <c r="G7" s="1">
        <v>1302043</v>
      </c>
      <c r="H7" s="1">
        <v>1045848</v>
      </c>
      <c r="J7" s="1">
        <f>B7-H7</f>
        <v>1652414</v>
      </c>
      <c r="K7" s="23">
        <f>J7/30</f>
        <v>55080.466666666667</v>
      </c>
    </row>
    <row r="8" spans="1:11" x14ac:dyDescent="0.2">
      <c r="A8" s="4" t="s">
        <v>45</v>
      </c>
      <c r="B8" s="1">
        <f t="shared" ref="B8:H8" si="1">B7/B5</f>
        <v>236.71041319413985</v>
      </c>
      <c r="C8" s="1">
        <f t="shared" si="1"/>
        <v>228.26328459343796</v>
      </c>
      <c r="D8" s="1">
        <f t="shared" si="1"/>
        <v>214.36936201107179</v>
      </c>
      <c r="E8" s="1">
        <f t="shared" si="1"/>
        <v>194.90832316787089</v>
      </c>
      <c r="F8" s="1">
        <f t="shared" si="1"/>
        <v>169.67819717163496</v>
      </c>
      <c r="G8" s="1">
        <f t="shared" si="1"/>
        <v>144.01537440548611</v>
      </c>
      <c r="H8" s="1">
        <f t="shared" si="1"/>
        <v>124.03320683111954</v>
      </c>
    </row>
    <row r="9" spans="1:11" x14ac:dyDescent="0.2">
      <c r="A9" s="4" t="s">
        <v>46</v>
      </c>
      <c r="B9" s="1">
        <v>197779</v>
      </c>
      <c r="C9" s="1">
        <f t="shared" ref="C9:H9" si="2">B7-C7</f>
        <v>138061</v>
      </c>
      <c r="D9" s="1">
        <f t="shared" si="2"/>
        <v>198065</v>
      </c>
      <c r="E9" s="1">
        <f t="shared" si="2"/>
        <v>284998</v>
      </c>
      <c r="F9" s="1">
        <f t="shared" si="2"/>
        <v>409371</v>
      </c>
      <c r="G9" s="1">
        <f t="shared" si="2"/>
        <v>365724</v>
      </c>
      <c r="H9" s="1">
        <f t="shared" si="2"/>
        <v>256195</v>
      </c>
    </row>
    <row r="10" spans="1:11" x14ac:dyDescent="0.2">
      <c r="A10" s="4" t="s">
        <v>44</v>
      </c>
      <c r="B10" s="1"/>
      <c r="C10" s="6">
        <f t="shared" ref="C10:H10" si="3">1-(C7/B7)</f>
        <v>5.1166639859287155E-2</v>
      </c>
      <c r="D10" s="6">
        <f t="shared" si="3"/>
        <v>7.7363066415488513E-2</v>
      </c>
      <c r="E10" s="6">
        <f t="shared" si="3"/>
        <v>0.12065266352149073</v>
      </c>
      <c r="F10" s="6">
        <f t="shared" si="3"/>
        <v>0.19708416099459924</v>
      </c>
      <c r="G10" s="6">
        <f t="shared" si="3"/>
        <v>0.21928962498958193</v>
      </c>
      <c r="H10" s="6">
        <f t="shared" si="3"/>
        <v>0.19676385495717119</v>
      </c>
      <c r="J10" s="6">
        <f>1-(H7/B7)</f>
        <v>0.61239938893999168</v>
      </c>
      <c r="K10" s="6">
        <f>J10/30</f>
        <v>2.0413312964666388E-2</v>
      </c>
    </row>
    <row r="11" spans="1:11" x14ac:dyDescent="0.2">
      <c r="A11" t="s">
        <v>42</v>
      </c>
      <c r="B11" s="1">
        <v>41163</v>
      </c>
      <c r="C11" s="1">
        <v>41009</v>
      </c>
      <c r="D11" s="1">
        <v>33616</v>
      </c>
      <c r="E11" s="1">
        <v>24623</v>
      </c>
      <c r="F11" s="1">
        <f>17027+4634</f>
        <v>21661</v>
      </c>
      <c r="G11" s="9">
        <f>10401+1574+1860</f>
        <v>13835</v>
      </c>
      <c r="H11" s="1">
        <f>7826+1351+1824</f>
        <v>11001</v>
      </c>
    </row>
    <row r="12" spans="1:11" x14ac:dyDescent="0.2">
      <c r="A12" s="4" t="s">
        <v>44</v>
      </c>
      <c r="B12" s="1"/>
      <c r="C12" s="17">
        <f>1-(C11/B11)</f>
        <v>3.7412239146806803E-3</v>
      </c>
      <c r="D12" s="17">
        <f t="shared" ref="D12:H12" si="4">1-(D11/C11)</f>
        <v>0.18027750006096221</v>
      </c>
      <c r="E12" s="17">
        <f t="shared" si="4"/>
        <v>0.26752141837220367</v>
      </c>
      <c r="F12" s="17">
        <f t="shared" si="4"/>
        <v>0.12029403403322092</v>
      </c>
      <c r="G12" s="17">
        <f t="shared" si="4"/>
        <v>0.3612944924057061</v>
      </c>
      <c r="H12" s="17">
        <f t="shared" si="4"/>
        <v>0.20484279002529815</v>
      </c>
      <c r="J12" s="17">
        <f>1-(H11/B11)</f>
        <v>0.73274542671816922</v>
      </c>
      <c r="K12" s="6">
        <f>J12/30</f>
        <v>2.4424847557272308E-2</v>
      </c>
    </row>
    <row r="13" spans="1:11" x14ac:dyDescent="0.2">
      <c r="A13" t="s">
        <v>25</v>
      </c>
      <c r="B13" s="1">
        <v>20624</v>
      </c>
      <c r="C13" s="1">
        <v>20988</v>
      </c>
      <c r="D13" s="1">
        <v>21287</v>
      </c>
      <c r="E13" s="1">
        <v>21235</v>
      </c>
      <c r="F13" s="1">
        <v>20383</v>
      </c>
      <c r="G13" s="1">
        <v>19066</v>
      </c>
      <c r="H13" s="1">
        <v>17742</v>
      </c>
      <c r="J13" s="1">
        <f>B13-H13</f>
        <v>2882</v>
      </c>
    </row>
    <row r="14" spans="1:11" x14ac:dyDescent="0.2">
      <c r="A14" s="4" t="s">
        <v>54</v>
      </c>
      <c r="B14" s="1"/>
      <c r="C14" s="3">
        <f>1-(B13/C13)</f>
        <v>1.7343243758338067E-2</v>
      </c>
      <c r="D14" s="3">
        <f>1-(C13/D13)</f>
        <v>1.4046131441724952E-2</v>
      </c>
      <c r="E14" s="6">
        <f>1-(E13/D13)</f>
        <v>2.4428054681261413E-3</v>
      </c>
      <c r="F14" s="6">
        <f t="shared" ref="F14:H14" si="5">1-(F13/E13)</f>
        <v>4.0122439368966312E-2</v>
      </c>
      <c r="G14" s="6">
        <f t="shared" si="5"/>
        <v>6.4612667418927572E-2</v>
      </c>
      <c r="H14" s="6">
        <f t="shared" si="5"/>
        <v>6.9442987517046029E-2</v>
      </c>
      <c r="J14" s="6">
        <f>1-(H13/B13)</f>
        <v>0.13974010861132657</v>
      </c>
      <c r="K14" s="6">
        <f>J14/30</f>
        <v>4.6580036203775523E-3</v>
      </c>
    </row>
    <row r="15" spans="1:11" x14ac:dyDescent="0.2">
      <c r="A15" s="4" t="s">
        <v>34</v>
      </c>
      <c r="B15" s="1">
        <v>2853</v>
      </c>
      <c r="C15" s="1">
        <v>3693</v>
      </c>
      <c r="D15" s="1">
        <v>3957</v>
      </c>
      <c r="E15" s="1">
        <v>5126</v>
      </c>
      <c r="F15" s="16"/>
      <c r="G15" s="16"/>
      <c r="H15" s="16"/>
    </row>
    <row r="16" spans="1:11" x14ac:dyDescent="0.2">
      <c r="A16" s="4" t="s">
        <v>35</v>
      </c>
      <c r="B16" s="16"/>
      <c r="C16" s="16"/>
      <c r="D16" s="1">
        <v>1103</v>
      </c>
      <c r="E16" s="1">
        <v>1365</v>
      </c>
      <c r="F16" s="16"/>
      <c r="G16" s="16"/>
      <c r="H16" s="16"/>
    </row>
    <row r="17" spans="1:11" x14ac:dyDescent="0.2">
      <c r="A17" t="s">
        <v>26</v>
      </c>
      <c r="B17" s="1">
        <f t="shared" ref="B17:H17" si="6">B7/B13</f>
        <v>130.83116757176106</v>
      </c>
      <c r="C17" s="1">
        <f t="shared" si="6"/>
        <v>121.98403849818943</v>
      </c>
      <c r="D17" s="1">
        <f t="shared" si="6"/>
        <v>110.96612956264387</v>
      </c>
      <c r="E17" s="1">
        <f t="shared" si="6"/>
        <v>97.816717683070408</v>
      </c>
      <c r="F17" s="1">
        <f t="shared" si="6"/>
        <v>81.821468871118086</v>
      </c>
      <c r="G17" s="1">
        <f t="shared" si="6"/>
        <v>68.291356341130808</v>
      </c>
      <c r="H17" s="1">
        <f t="shared" si="6"/>
        <v>58.947582008792693</v>
      </c>
      <c r="J17" s="6">
        <f>1-(H17/B17)</f>
        <v>0.54943777463072885</v>
      </c>
    </row>
    <row r="18" spans="1:11" x14ac:dyDescent="0.2">
      <c r="A18" t="s">
        <v>31</v>
      </c>
      <c r="B18" s="1">
        <v>1230</v>
      </c>
      <c r="C18" s="1">
        <v>1340</v>
      </c>
      <c r="D18" s="1">
        <v>1427</v>
      </c>
      <c r="E18" s="1">
        <v>1154</v>
      </c>
      <c r="F18" s="16"/>
      <c r="G18" s="16"/>
      <c r="H18" s="16"/>
    </row>
    <row r="19" spans="1:11" x14ac:dyDescent="0.2">
      <c r="A19" s="4" t="s">
        <v>32</v>
      </c>
      <c r="B19" s="1">
        <v>625</v>
      </c>
      <c r="C19" s="1">
        <v>674</v>
      </c>
      <c r="D19" s="1">
        <v>761</v>
      </c>
      <c r="E19" s="1">
        <v>657</v>
      </c>
      <c r="F19" s="16"/>
      <c r="G19" s="16"/>
      <c r="H19" s="16"/>
    </row>
    <row r="20" spans="1:11" x14ac:dyDescent="0.2">
      <c r="A20" s="4" t="s">
        <v>33</v>
      </c>
      <c r="B20" s="1">
        <v>174</v>
      </c>
      <c r="C20" s="1">
        <v>244</v>
      </c>
      <c r="D20" s="1">
        <v>210</v>
      </c>
      <c r="E20" s="1">
        <v>230</v>
      </c>
      <c r="F20" s="16"/>
      <c r="G20" s="16"/>
      <c r="H20" s="16"/>
      <c r="J20" t="s">
        <v>55</v>
      </c>
    </row>
    <row r="21" spans="1:11" x14ac:dyDescent="0.2">
      <c r="A21" t="s">
        <v>36</v>
      </c>
      <c r="B21" s="10">
        <v>1492309021</v>
      </c>
      <c r="C21" s="10">
        <v>1859374216</v>
      </c>
      <c r="D21" s="12">
        <v>2008921069</v>
      </c>
      <c r="E21" s="12">
        <v>2100705626</v>
      </c>
      <c r="F21" s="12">
        <v>1738915711</v>
      </c>
      <c r="G21" s="12">
        <v>2376948622</v>
      </c>
      <c r="H21" s="12">
        <v>2260400608</v>
      </c>
      <c r="J21" s="25">
        <f>H21-B21</f>
        <v>768091587</v>
      </c>
    </row>
    <row r="22" spans="1:11" x14ac:dyDescent="0.2">
      <c r="A22" t="s">
        <v>27</v>
      </c>
      <c r="B22" s="1">
        <f t="shared" ref="B22:H22" si="7">B21/B7</f>
        <v>553.06305355076711</v>
      </c>
      <c r="C22" s="1">
        <f t="shared" si="7"/>
        <v>726.26103028629393</v>
      </c>
      <c r="D22" s="1">
        <f t="shared" si="7"/>
        <v>850.46799549221555</v>
      </c>
      <c r="E22" s="1">
        <f t="shared" si="7"/>
        <v>1011.3462013597556</v>
      </c>
      <c r="F22" s="1">
        <f t="shared" si="7"/>
        <v>1042.6610617670215</v>
      </c>
      <c r="G22" s="1">
        <f t="shared" si="7"/>
        <v>1825.5530900285166</v>
      </c>
      <c r="H22" s="1">
        <f t="shared" si="7"/>
        <v>2161.3089167833186</v>
      </c>
      <c r="J22" s="10">
        <f>H22-B22</f>
        <v>1608.2458632325515</v>
      </c>
      <c r="K22" s="12"/>
    </row>
    <row r="23" spans="1:11" x14ac:dyDescent="0.2">
      <c r="A23" t="s">
        <v>28</v>
      </c>
      <c r="B23" s="15"/>
      <c r="C23">
        <f>44+43+38+57+31</f>
        <v>213</v>
      </c>
      <c r="D23">
        <f>37+37+43+44+30</f>
        <v>191</v>
      </c>
      <c r="E23">
        <f>47+36+19+41+26</f>
        <v>169</v>
      </c>
      <c r="F23">
        <f>15+24+13+18+22</f>
        <v>92</v>
      </c>
      <c r="G23">
        <f>19+20+18+17+14</f>
        <v>88</v>
      </c>
      <c r="H23" s="1">
        <v>46</v>
      </c>
    </row>
    <row r="24" spans="1:11" x14ac:dyDescent="0.2">
      <c r="A24" t="s">
        <v>29</v>
      </c>
      <c r="B24" s="15"/>
      <c r="C24">
        <f>82+76+71+92+75</f>
        <v>396</v>
      </c>
      <c r="D24">
        <f>75+73+87+68+72</f>
        <v>375</v>
      </c>
      <c r="E24">
        <f>106+92+102+110+120</f>
        <v>530</v>
      </c>
      <c r="F24">
        <f>110+74+86+75+119</f>
        <v>464</v>
      </c>
      <c r="G24">
        <f>95+108+104+97+91</f>
        <v>495</v>
      </c>
      <c r="H24">
        <f>104+104+115+123+103</f>
        <v>549</v>
      </c>
    </row>
    <row r="25" spans="1:11" x14ac:dyDescent="0.2">
      <c r="A25" t="s">
        <v>30</v>
      </c>
      <c r="B25" s="15"/>
      <c r="C25">
        <f>23+17+23+16+26</f>
        <v>105</v>
      </c>
      <c r="D25">
        <f>29+31+33+38+27</f>
        <v>158</v>
      </c>
      <c r="E25">
        <f>29+32+23+20+20</f>
        <v>124</v>
      </c>
      <c r="F25" s="15"/>
      <c r="G25">
        <f>110+116+122+128+146</f>
        <v>622</v>
      </c>
      <c r="H25">
        <v>113</v>
      </c>
    </row>
    <row r="26" spans="1:11" x14ac:dyDescent="0.2">
      <c r="A26" t="s">
        <v>56</v>
      </c>
      <c r="B26" s="15"/>
      <c r="C26" s="15"/>
      <c r="D26" s="15"/>
      <c r="E26" s="15"/>
      <c r="F26" s="18" t="s">
        <v>57</v>
      </c>
      <c r="G26">
        <v>176</v>
      </c>
      <c r="H26">
        <v>327</v>
      </c>
      <c r="J26">
        <f>H26-94</f>
        <v>233</v>
      </c>
    </row>
    <row r="28" spans="1:11" x14ac:dyDescent="0.2">
      <c r="A28" s="4" t="s">
        <v>9</v>
      </c>
      <c r="B28" s="11">
        <f>B29/B7</f>
        <v>0.59063056145029658</v>
      </c>
      <c r="C28" s="11">
        <f>C29/C7</f>
        <v>0.58976463176133431</v>
      </c>
      <c r="D28" s="3">
        <v>0.58599999999999997</v>
      </c>
      <c r="E28" s="3">
        <v>0.58299999999999996</v>
      </c>
      <c r="F28" s="3">
        <f>F29/F7</f>
        <v>0.5825615928364094</v>
      </c>
      <c r="G28" s="3">
        <f>G29/G7</f>
        <v>0.58747522163246524</v>
      </c>
      <c r="H28" s="3">
        <v>0.59199999999999997</v>
      </c>
    </row>
    <row r="29" spans="1:11" x14ac:dyDescent="0.2">
      <c r="A29" t="s">
        <v>2</v>
      </c>
      <c r="B29" s="14">
        <v>1593676</v>
      </c>
      <c r="C29" s="14">
        <v>1509916</v>
      </c>
      <c r="D29" s="1">
        <f>B7*D28</f>
        <v>1581181.5319999999</v>
      </c>
      <c r="E29" s="1">
        <f>C7*E28</f>
        <v>1492597.183</v>
      </c>
      <c r="F29">
        <v>971577</v>
      </c>
      <c r="G29">
        <v>764918</v>
      </c>
      <c r="H29" s="1">
        <v>515586</v>
      </c>
    </row>
    <row r="30" spans="1:11" x14ac:dyDescent="0.2">
      <c r="A30" s="4" t="s">
        <v>8</v>
      </c>
      <c r="B30" s="11">
        <v>0.40899999999999997</v>
      </c>
      <c r="C30" s="11">
        <v>0.41</v>
      </c>
      <c r="D30" s="3">
        <v>0.41399999999999998</v>
      </c>
      <c r="E30" s="3">
        <v>0.41699999999999998</v>
      </c>
      <c r="F30" s="3">
        <v>0.41699999999999998</v>
      </c>
      <c r="G30" s="3">
        <v>0.41299999999999998</v>
      </c>
      <c r="H30" s="3">
        <v>0.40600000000000003</v>
      </c>
    </row>
    <row r="31" spans="1:11" x14ac:dyDescent="0.2">
      <c r="A31" s="4" t="s">
        <v>13</v>
      </c>
      <c r="D31" s="1"/>
      <c r="E31" s="1"/>
      <c r="F31" s="1"/>
      <c r="H31" s="3">
        <f>H32/H7/0.83</f>
        <v>1.9906599341810412E-3</v>
      </c>
    </row>
    <row r="32" spans="1:11" x14ac:dyDescent="0.2">
      <c r="A32" t="s">
        <v>14</v>
      </c>
      <c r="D32" s="1"/>
      <c r="E32" s="1"/>
      <c r="F32" s="1"/>
      <c r="H32" s="1">
        <v>1728</v>
      </c>
    </row>
    <row r="33" spans="1:10" x14ac:dyDescent="0.2">
      <c r="D33" s="1"/>
      <c r="E33" s="1"/>
      <c r="F33" s="1"/>
      <c r="H33" s="1"/>
    </row>
    <row r="34" spans="1:10" x14ac:dyDescent="0.2">
      <c r="A34" t="s">
        <v>24</v>
      </c>
      <c r="D34" s="1"/>
      <c r="E34" s="1"/>
      <c r="F34" s="2">
        <v>0.81</v>
      </c>
      <c r="G34" s="2">
        <v>0.84</v>
      </c>
      <c r="H34" s="2">
        <v>0.79</v>
      </c>
      <c r="J34" s="18" t="s">
        <v>53</v>
      </c>
    </row>
    <row r="35" spans="1:10" x14ac:dyDescent="0.2">
      <c r="A35" s="4" t="s">
        <v>7</v>
      </c>
      <c r="B35" s="15"/>
      <c r="C35" s="15"/>
      <c r="D35" s="3">
        <v>0.92100000000000004</v>
      </c>
      <c r="E35" s="3">
        <v>0.91</v>
      </c>
      <c r="F35" s="2">
        <f>F36/F7/F34</f>
        <v>0.91806130333494562</v>
      </c>
      <c r="G35" s="3">
        <f>G36/G7/G34</f>
        <v>0.88948126685743645</v>
      </c>
      <c r="H35" s="3">
        <v>0.876</v>
      </c>
      <c r="J35" s="24">
        <f>H35-D35</f>
        <v>-4.500000000000004E-2</v>
      </c>
    </row>
    <row r="36" spans="1:10" x14ac:dyDescent="0.2">
      <c r="A36" t="s">
        <v>3</v>
      </c>
      <c r="B36" s="15"/>
      <c r="C36" s="15"/>
      <c r="D36" s="1">
        <f>D35*B7</f>
        <v>2485099.3020000001</v>
      </c>
      <c r="E36" s="1">
        <f>E35*C7</f>
        <v>2329782.91</v>
      </c>
      <c r="F36">
        <v>1240201</v>
      </c>
      <c r="G36">
        <v>972840</v>
      </c>
      <c r="H36" s="1">
        <v>727425</v>
      </c>
      <c r="J36" s="24"/>
    </row>
    <row r="37" spans="1:10" x14ac:dyDescent="0.2">
      <c r="A37" s="4" t="s">
        <v>47</v>
      </c>
      <c r="B37" s="15"/>
      <c r="C37" s="15"/>
      <c r="D37" s="3">
        <v>3.1E-2</v>
      </c>
      <c r="E37" s="3">
        <v>3.4000000000000002E-2</v>
      </c>
      <c r="F37" s="3">
        <f>F38/F7/F34</f>
        <v>3.9337732932421716E-2</v>
      </c>
      <c r="G37" s="3">
        <f>G38/G7/G35</f>
        <v>4.1523374861231033E-2</v>
      </c>
      <c r="H37" s="3">
        <v>4.5999999999999999E-2</v>
      </c>
      <c r="J37" s="24">
        <f t="shared" ref="J37:J47" si="8">H37-D37</f>
        <v>1.4999999999999999E-2</v>
      </c>
    </row>
    <row r="38" spans="1:10" x14ac:dyDescent="0.2">
      <c r="A38" t="s">
        <v>48</v>
      </c>
      <c r="B38" s="15"/>
      <c r="C38" s="15"/>
      <c r="D38" s="1">
        <f>D37*B7</f>
        <v>83646.122000000003</v>
      </c>
      <c r="E38" s="1">
        <f>E37*C7</f>
        <v>87046.834000000003</v>
      </c>
      <c r="F38">
        <f>31202+13549+8390</f>
        <v>53141</v>
      </c>
      <c r="G38">
        <v>48090</v>
      </c>
      <c r="H38" s="1">
        <v>38687</v>
      </c>
      <c r="J38" s="24"/>
    </row>
    <row r="39" spans="1:10" x14ac:dyDescent="0.2">
      <c r="A39" s="4" t="s">
        <v>10</v>
      </c>
      <c r="B39" s="15"/>
      <c r="C39" s="15"/>
      <c r="D39" s="3">
        <v>2.9000000000000001E-2</v>
      </c>
      <c r="E39" s="3">
        <v>3.5000000000000003E-2</v>
      </c>
      <c r="F39" s="3">
        <f>F40/F7/F34</f>
        <v>2.6479555234671107E-2</v>
      </c>
      <c r="G39" s="3">
        <f>G40/G7/G34</f>
        <v>3.4191687693146552E-2</v>
      </c>
      <c r="H39" s="3">
        <v>3.9E-2</v>
      </c>
      <c r="J39" s="24">
        <f t="shared" si="8"/>
        <v>9.9999999999999985E-3</v>
      </c>
    </row>
    <row r="40" spans="1:10" x14ac:dyDescent="0.2">
      <c r="A40" t="s">
        <v>4</v>
      </c>
      <c r="B40" s="15"/>
      <c r="C40" s="15"/>
      <c r="D40" s="1">
        <f>D39*B7</f>
        <v>78249.597999999998</v>
      </c>
      <c r="E40" s="1">
        <f>E39*C7</f>
        <v>89607.035000000003</v>
      </c>
      <c r="F40">
        <v>35771</v>
      </c>
      <c r="G40">
        <v>37396</v>
      </c>
      <c r="H40" s="1">
        <v>31872</v>
      </c>
      <c r="J40" s="24"/>
    </row>
    <row r="41" spans="1:10" x14ac:dyDescent="0.2">
      <c r="A41" s="4" t="s">
        <v>11</v>
      </c>
      <c r="B41" s="15"/>
      <c r="C41" s="15"/>
      <c r="D41" s="3">
        <v>1.2999999999999999E-2</v>
      </c>
      <c r="E41" s="3">
        <v>1.4999999999999999E-2</v>
      </c>
      <c r="F41" s="3">
        <f>F42/F7/F34</f>
        <v>1.4955311688408498E-2</v>
      </c>
      <c r="G41" s="3">
        <f>G42/G7/G34</f>
        <v>1.6280275726392332E-2</v>
      </c>
      <c r="H41" s="3">
        <v>1.7999999999999999E-2</v>
      </c>
      <c r="J41" s="24">
        <f t="shared" si="8"/>
        <v>4.9999999999999992E-3</v>
      </c>
    </row>
    <row r="42" spans="1:10" x14ac:dyDescent="0.2">
      <c r="A42" t="s">
        <v>5</v>
      </c>
      <c r="B42" s="15"/>
      <c r="C42" s="15"/>
      <c r="D42" s="1">
        <f>D41*B7</f>
        <v>35077.405999999995</v>
      </c>
      <c r="E42" s="1">
        <f>E41*C7</f>
        <v>38403.014999999999</v>
      </c>
      <c r="F42">
        <v>20203</v>
      </c>
      <c r="G42">
        <v>17806</v>
      </c>
      <c r="H42" s="1">
        <v>14927</v>
      </c>
      <c r="J42" s="24"/>
    </row>
    <row r="43" spans="1:10" x14ac:dyDescent="0.2">
      <c r="A43" s="4" t="s">
        <v>12</v>
      </c>
      <c r="B43" s="15"/>
      <c r="C43" s="15"/>
      <c r="D43" s="3">
        <v>3.0000000000000001E-3</v>
      </c>
      <c r="E43" s="3">
        <v>3.0000000000000001E-3</v>
      </c>
      <c r="F43" s="6">
        <f>F44/F7/F34</f>
        <v>1.8543313260141209E-3</v>
      </c>
      <c r="G43" s="3">
        <f>G44/G7/G34</f>
        <v>2.3132145112755584E-3</v>
      </c>
      <c r="H43" s="3">
        <v>3.0000000000000001E-3</v>
      </c>
      <c r="J43" s="24">
        <f t="shared" si="8"/>
        <v>0</v>
      </c>
    </row>
    <row r="44" spans="1:10" x14ac:dyDescent="0.2">
      <c r="A44" t="s">
        <v>6</v>
      </c>
      <c r="B44" s="15"/>
      <c r="C44" s="15"/>
      <c r="D44" s="1">
        <f>D43*B7</f>
        <v>8094.7860000000001</v>
      </c>
      <c r="E44" s="1">
        <f>E43*C7</f>
        <v>7680.6030000000001</v>
      </c>
      <c r="F44">
        <v>2505</v>
      </c>
      <c r="G44">
        <v>2530</v>
      </c>
      <c r="H44" s="1">
        <v>2481</v>
      </c>
      <c r="J44" s="24"/>
    </row>
    <row r="45" spans="1:10" x14ac:dyDescent="0.2">
      <c r="A45" t="s">
        <v>17</v>
      </c>
      <c r="B45" s="15"/>
      <c r="C45" s="15"/>
      <c r="D45" s="16"/>
      <c r="E45" s="16"/>
      <c r="F45" s="15"/>
      <c r="G45" s="3">
        <f>G46/G7/G34</f>
        <v>2.4713908395169303E-3</v>
      </c>
      <c r="H45" s="3">
        <v>4.0000000000000001E-3</v>
      </c>
      <c r="J45" s="24">
        <f t="shared" si="8"/>
        <v>4.0000000000000001E-3</v>
      </c>
    </row>
    <row r="46" spans="1:10" x14ac:dyDescent="0.2">
      <c r="A46" t="s">
        <v>18</v>
      </c>
      <c r="B46" s="15"/>
      <c r="C46" s="15"/>
      <c r="D46" s="16"/>
      <c r="E46" s="16"/>
      <c r="F46" s="15"/>
      <c r="G46">
        <v>2703</v>
      </c>
      <c r="H46" s="1">
        <v>3102</v>
      </c>
      <c r="J46" s="24"/>
    </row>
    <row r="47" spans="1:10" x14ac:dyDescent="0.2">
      <c r="A47" s="4" t="s">
        <v>15</v>
      </c>
      <c r="B47" s="15"/>
      <c r="C47" s="15"/>
      <c r="D47" s="3">
        <v>3.0000000000000001E-3</v>
      </c>
      <c r="E47" s="3">
        <v>3.0000000000000001E-3</v>
      </c>
      <c r="F47" s="6">
        <f>F48/F7/F34</f>
        <v>2.6589852786597693E-3</v>
      </c>
      <c r="G47" s="3">
        <f>G48/G7/G34</f>
        <v>8.4747768004004558E-3</v>
      </c>
      <c r="H47" s="3">
        <v>1.4999999999999999E-2</v>
      </c>
      <c r="J47" s="24">
        <f t="shared" si="8"/>
        <v>1.2E-2</v>
      </c>
    </row>
    <row r="48" spans="1:10" x14ac:dyDescent="0.2">
      <c r="A48" t="s">
        <v>16</v>
      </c>
      <c r="B48" s="15"/>
      <c r="C48" s="15"/>
      <c r="D48" s="1">
        <f>D47*B7</f>
        <v>8094.7860000000001</v>
      </c>
      <c r="E48" s="1">
        <f>E47*C7</f>
        <v>7680.6030000000001</v>
      </c>
      <c r="F48">
        <v>3592</v>
      </c>
      <c r="G48">
        <v>9269</v>
      </c>
      <c r="H48" s="1">
        <v>11737</v>
      </c>
      <c r="J48" s="24"/>
    </row>
    <row r="49" spans="1:10" x14ac:dyDescent="0.2">
      <c r="D49" s="1"/>
      <c r="E49" s="1"/>
      <c r="H49" s="1"/>
    </row>
    <row r="50" spans="1:10" x14ac:dyDescent="0.2">
      <c r="D50" s="1"/>
      <c r="E50" s="1"/>
      <c r="G50" s="3"/>
      <c r="H50" s="1"/>
      <c r="I50" s="20" t="s">
        <v>51</v>
      </c>
      <c r="J50" s="21" t="s">
        <v>50</v>
      </c>
    </row>
    <row r="51" spans="1:10" x14ac:dyDescent="0.2">
      <c r="A51" t="s">
        <v>19</v>
      </c>
      <c r="B51" s="15"/>
      <c r="C51" s="15"/>
      <c r="D51" s="15"/>
      <c r="E51" s="15"/>
      <c r="F51" s="14">
        <v>181295</v>
      </c>
      <c r="G51" s="9">
        <v>129927</v>
      </c>
      <c r="H51" s="9">
        <f>36714+60119</f>
        <v>96833</v>
      </c>
      <c r="I51" s="3">
        <f>G51/G57</f>
        <v>0.11823218195418386</v>
      </c>
      <c r="J51" s="3">
        <f>(H51/H57)</f>
        <v>0.11236837768901742</v>
      </c>
    </row>
    <row r="52" spans="1:10" x14ac:dyDescent="0.2">
      <c r="A52" t="s">
        <v>23</v>
      </c>
      <c r="B52" s="15"/>
      <c r="C52" s="15"/>
      <c r="D52" s="15"/>
      <c r="E52" s="15"/>
      <c r="F52" s="14"/>
      <c r="G52" s="9">
        <v>163598</v>
      </c>
      <c r="H52" s="9">
        <v>113420</v>
      </c>
      <c r="I52" s="3">
        <f>G52/G57</f>
        <v>0.14887243223764554</v>
      </c>
      <c r="J52" s="3">
        <f>H52/H57</f>
        <v>0.13161650880886014</v>
      </c>
    </row>
    <row r="53" spans="1:10" x14ac:dyDescent="0.2">
      <c r="A53" t="s">
        <v>20</v>
      </c>
      <c r="B53" s="15"/>
      <c r="C53" s="15"/>
      <c r="D53" s="15"/>
      <c r="E53" s="15"/>
      <c r="F53" s="14"/>
      <c r="G53" s="9">
        <v>186821</v>
      </c>
      <c r="H53" s="9">
        <v>140865</v>
      </c>
      <c r="I53" s="3">
        <f>G53/G57</f>
        <v>0.17000511413996</v>
      </c>
      <c r="J53" s="3">
        <f>H53/H57</f>
        <v>0.16346464039287678</v>
      </c>
    </row>
    <row r="54" spans="1:10" x14ac:dyDescent="0.2">
      <c r="A54" t="s">
        <v>21</v>
      </c>
      <c r="B54" s="15"/>
      <c r="C54" s="15"/>
      <c r="D54" s="15"/>
      <c r="E54" s="15"/>
      <c r="F54" s="14"/>
      <c r="G54" s="9">
        <v>278795</v>
      </c>
      <c r="H54" s="9">
        <v>215641</v>
      </c>
      <c r="I54" s="3">
        <f>G54/G57</f>
        <v>0.25370047155646391</v>
      </c>
      <c r="J54" s="3">
        <f>H54/H57</f>
        <v>0.2502373089054083</v>
      </c>
    </row>
    <row r="55" spans="1:10" x14ac:dyDescent="0.2">
      <c r="A55" t="s">
        <v>22</v>
      </c>
      <c r="B55" s="15"/>
      <c r="C55" s="15"/>
      <c r="D55" s="15"/>
      <c r="E55" s="15"/>
      <c r="F55" s="14"/>
      <c r="G55" s="9">
        <v>339773</v>
      </c>
      <c r="H55" s="9">
        <v>294987</v>
      </c>
      <c r="I55" s="3">
        <f>G55/G57</f>
        <v>0.30918980011174668</v>
      </c>
      <c r="J55" s="3">
        <f>H55/H57</f>
        <v>0.34231316420383734</v>
      </c>
    </row>
    <row r="56" spans="1:10" x14ac:dyDescent="0.2">
      <c r="A56" s="8" t="s">
        <v>40</v>
      </c>
      <c r="B56" s="8"/>
      <c r="C56" s="8"/>
      <c r="D56" s="8"/>
      <c r="E56" s="8"/>
      <c r="F56" s="13"/>
      <c r="G56" s="9"/>
      <c r="H56" s="9"/>
    </row>
    <row r="57" spans="1:10" x14ac:dyDescent="0.2">
      <c r="A57" s="7" t="s">
        <v>37</v>
      </c>
      <c r="B57" s="8"/>
      <c r="C57" s="8"/>
      <c r="D57" s="8"/>
      <c r="E57" s="8"/>
      <c r="F57" s="13">
        <v>212589</v>
      </c>
      <c r="G57" s="19">
        <f>G51+G52+G53+G54+G55</f>
        <v>1098914</v>
      </c>
      <c r="H57" s="19">
        <f>H51+H52+H53+H54+H55</f>
        <v>861746</v>
      </c>
    </row>
    <row r="58" spans="1:10" x14ac:dyDescent="0.2">
      <c r="A58" s="8" t="s">
        <v>38</v>
      </c>
      <c r="B58" s="8"/>
      <c r="C58" s="8"/>
      <c r="D58" s="8"/>
      <c r="E58" s="8"/>
      <c r="F58" s="13">
        <v>251253</v>
      </c>
      <c r="G58" s="9"/>
      <c r="H58" s="9"/>
    </row>
    <row r="59" spans="1:10" x14ac:dyDescent="0.2">
      <c r="A59" s="8" t="s">
        <v>39</v>
      </c>
      <c r="B59" s="8"/>
      <c r="C59" s="8"/>
      <c r="D59" s="8"/>
      <c r="E59" s="8"/>
      <c r="F59" s="13">
        <v>455358</v>
      </c>
      <c r="G59" s="9"/>
      <c r="H59" s="9"/>
    </row>
    <row r="61" spans="1:10" x14ac:dyDescent="0.2">
      <c r="A61" s="8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Gregg Brekke</dc:creator>
  <cp:lastModifiedBy>Gregg Brekke</cp:lastModifiedBy>
  <dcterms:created xsi:type="dcterms:W3CDTF">2025-09-02T19:47:32Z</dcterms:created>
  <dcterms:modified xsi:type="dcterms:W3CDTF">2025-09-08T22:15:22Z</dcterms:modified>
</cp:coreProperties>
</file>